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showInkAnnotation="0"/>
  <mc:AlternateContent xmlns:mc="http://schemas.openxmlformats.org/markup-compatibility/2006">
    <mc:Choice Requires="x15">
      <x15ac:absPath xmlns:x15ac="http://schemas.microsoft.com/office/spreadsheetml/2010/11/ac" url="https://grahamlittle-my.sharepoint.com/personal/graham_grahamlittle_co_nz/Documents/GRLOperational/Business/OPD/1 Sales and prospecting/Prospecting/"/>
    </mc:Choice>
  </mc:AlternateContent>
  <xr:revisionPtr revIDLastSave="0" documentId="8_{E75A2DDA-0D7A-4C19-A709-80952E2ED71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usiness case" sheetId="1" r:id="rId1"/>
    <sheet name="Sheet2" sheetId="5" state="hidden" r:id="rId2"/>
    <sheet name="Payback yr 2&amp;3" sheetId="2" state="hidden" r:id="rId3"/>
  </sheets>
  <definedNames>
    <definedName name="_xlnm.Print_Area" localSheetId="0">'Business case'!$A$1:$H$63</definedName>
    <definedName name="_xlnm.Print_Area" localSheetId="2">'Payback yr 2&amp;3'!$A$1:$H$18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9" i="1" l="1"/>
  <c r="E11" i="1"/>
  <c r="F11" i="1" s="1"/>
  <c r="E10" i="1"/>
  <c r="D23" i="2" s="1"/>
  <c r="E9" i="1"/>
  <c r="D5" i="2" s="1"/>
  <c r="E8" i="1"/>
  <c r="D4" i="2" s="1"/>
  <c r="C30" i="1"/>
  <c r="F18" i="2"/>
  <c r="C4" i="2"/>
  <c r="C21" i="2" s="1"/>
  <c r="E13" i="1"/>
  <c r="C31" i="1" s="1"/>
  <c r="C13" i="1"/>
  <c r="C16" i="1" s="1"/>
  <c r="E14" i="1"/>
  <c r="C32" i="1" s="1"/>
  <c r="C14" i="1"/>
  <c r="E16" i="1"/>
  <c r="C33" i="1" s="1"/>
  <c r="B2" i="2"/>
  <c r="B19" i="2" s="1"/>
  <c r="C5" i="2"/>
  <c r="C22" i="2" s="1"/>
  <c r="D2" i="2"/>
  <c r="D19" i="2" s="1"/>
  <c r="C6" i="2"/>
  <c r="C23" i="2" s="1"/>
  <c r="F2" i="2"/>
  <c r="F19" i="2" s="1"/>
  <c r="C7" i="2"/>
  <c r="C24" i="2" s="1"/>
  <c r="D24" i="2"/>
  <c r="F4" i="2"/>
  <c r="F21" i="2" s="1"/>
  <c r="A1" i="2"/>
  <c r="A18" i="2" s="1"/>
  <c r="D7" i="2"/>
  <c r="F8" i="1" l="1"/>
  <c r="E21" i="2" s="1"/>
  <c r="D6" i="2"/>
  <c r="D10" i="2" s="1"/>
  <c r="D12" i="2"/>
  <c r="E4" i="2"/>
  <c r="D21" i="2"/>
  <c r="E7" i="2"/>
  <c r="E24" i="2"/>
  <c r="D29" i="2" s="1"/>
  <c r="F10" i="1"/>
  <c r="E23" i="2" s="1"/>
  <c r="D27" i="2" s="1"/>
  <c r="D9" i="2"/>
  <c r="D22" i="2"/>
  <c r="F9" i="1"/>
  <c r="E22" i="2" s="1"/>
  <c r="D26" i="2" s="1"/>
  <c r="F13" i="1"/>
  <c r="D14" i="1"/>
  <c r="B9" i="2"/>
  <c r="B12" i="2" s="1"/>
  <c r="C12" i="2" s="1"/>
  <c r="C15" i="1"/>
  <c r="C22" i="1" s="1"/>
  <c r="D22" i="1" s="1"/>
  <c r="E24" i="1" s="1"/>
  <c r="B27" i="2"/>
  <c r="B26" i="2"/>
  <c r="D16" i="1"/>
  <c r="F16" i="1"/>
  <c r="B10" i="2"/>
  <c r="E6" i="2" l="1"/>
  <c r="E5" i="2"/>
  <c r="E9" i="2"/>
  <c r="G16" i="1"/>
  <c r="F14" i="1"/>
  <c r="E12" i="2"/>
  <c r="D15" i="1"/>
  <c r="E26" i="2"/>
  <c r="B28" i="2"/>
  <c r="B29" i="2"/>
  <c r="C10" i="2"/>
  <c r="B11" i="2"/>
  <c r="C27" i="2"/>
  <c r="E27" i="2" l="1"/>
  <c r="F27" i="2" s="1"/>
  <c r="F12" i="2"/>
  <c r="E10" i="2"/>
  <c r="F10" i="2" s="1"/>
  <c r="F15" i="1"/>
  <c r="G14" i="1"/>
  <c r="C29" i="2"/>
  <c r="E29" i="2"/>
  <c r="F29" i="2" s="1"/>
  <c r="B31" i="2"/>
  <c r="C31" i="2" s="1"/>
  <c r="C28" i="2"/>
  <c r="B14" i="2"/>
  <c r="C14" i="2" s="1"/>
  <c r="C11" i="2"/>
  <c r="G15" i="1" l="1"/>
  <c r="F22" i="1"/>
  <c r="F23" i="1" s="1"/>
  <c r="E28" i="2"/>
  <c r="F28" i="2" s="1"/>
  <c r="E11" i="2"/>
  <c r="F11" i="2" s="1"/>
  <c r="D38" i="1" l="1"/>
  <c r="E30" i="2"/>
  <c r="E31" i="2" s="1"/>
  <c r="E32" i="2" s="1"/>
  <c r="F32" i="2" s="1"/>
  <c r="E13" i="2"/>
  <c r="E14" i="2" s="1"/>
  <c r="F14" i="2" s="1"/>
  <c r="G22" i="1"/>
  <c r="C35" i="1"/>
  <c r="G23" i="1"/>
  <c r="F25" i="1"/>
  <c r="E33" i="2" l="1"/>
  <c r="F27" i="1" s="1"/>
  <c r="C37" i="1" s="1"/>
  <c r="F31" i="2"/>
  <c r="E15" i="2"/>
  <c r="E16" i="2" s="1"/>
  <c r="F26" i="1" s="1"/>
  <c r="G25" i="1"/>
  <c r="E25" i="1" s="1"/>
  <c r="D40" i="1"/>
  <c r="F16" i="2" l="1"/>
  <c r="G26" i="1" s="1"/>
  <c r="E26" i="1" s="1"/>
  <c r="F33" i="2"/>
  <c r="G27" i="1" s="1"/>
  <c r="E27" i="1" s="1"/>
  <c r="F15" i="2"/>
  <c r="F40" i="1"/>
  <c r="C36" i="1"/>
</calcChain>
</file>

<file path=xl/sharedStrings.xml><?xml version="1.0" encoding="utf-8"?>
<sst xmlns="http://schemas.openxmlformats.org/spreadsheetml/2006/main" count="170" uniqueCount="105">
  <si>
    <t xml:space="preserve">Business case projections OPD-HCD™  </t>
  </si>
  <si>
    <t xml:space="preserve">Aim: Increase revenue. Apply OPD thereby increasing engagement and reducing costs as percentage of revenue. </t>
  </si>
  <si>
    <t>Financials in $. Tax not included.</t>
  </si>
  <si>
    <t>Locations</t>
  </si>
  <si>
    <t>Executive team</t>
  </si>
  <si>
    <t>Unit teams</t>
  </si>
  <si>
    <t>Revenues</t>
  </si>
  <si>
    <t>GP%</t>
  </si>
  <si>
    <t>O/Head %</t>
  </si>
  <si>
    <t xml:space="preserve"> </t>
  </si>
  <si>
    <t>Year 1</t>
  </si>
  <si>
    <t>Year 2</t>
  </si>
  <si>
    <t>Year 3</t>
  </si>
  <si>
    <t>Range</t>
  </si>
  <si>
    <t>Human performance increase</t>
  </si>
  <si>
    <t>Actual closer to ideal actions</t>
  </si>
  <si>
    <t xml:space="preserve">Sales profit profile link </t>
  </si>
  <si>
    <t>OPDPPL sales</t>
  </si>
  <si>
    <t>0.3%-0.5%</t>
  </si>
  <si>
    <t>D/cost profit profile link</t>
  </si>
  <si>
    <t>OPDPPL direct costs</t>
  </si>
  <si>
    <t>0.2%-0.4%</t>
  </si>
  <si>
    <t>Overhead profit profile link</t>
  </si>
  <si>
    <t>OPDPPL overhead</t>
  </si>
  <si>
    <t>0.1%-0.3%</t>
  </si>
  <si>
    <t>Before OPD</t>
  </si>
  <si>
    <t>%</t>
  </si>
  <si>
    <t>OPDPIF</t>
  </si>
  <si>
    <t>After OPD</t>
  </si>
  <si>
    <t>Direct operating costs</t>
  </si>
  <si>
    <t>Gross profit</t>
  </si>
  <si>
    <t>Overhead</t>
  </si>
  <si>
    <t>Cost of service</t>
  </si>
  <si>
    <t>Internal costs (admin, travel)</t>
  </si>
  <si>
    <t>Profit</t>
  </si>
  <si>
    <t xml:space="preserve">OPD increase in profit </t>
  </si>
  <si>
    <t xml:space="preserve">Profit gains after OPD costs. </t>
  </si>
  <si>
    <t xml:space="preserve">Recommended initial targets </t>
  </si>
  <si>
    <t xml:space="preserve">Human performance increase </t>
  </si>
  <si>
    <t>large numbers. A small change in either large</t>
  </si>
  <si>
    <t>Sales increase</t>
  </si>
  <si>
    <t xml:space="preserve">number can result in large profit gain. </t>
  </si>
  <si>
    <t>Direct cost decrease</t>
  </si>
  <si>
    <t xml:space="preserve">OPD-HCD links daily staff actions </t>
  </si>
  <si>
    <t>Overhead decrease</t>
  </si>
  <si>
    <t xml:space="preserve">directly to achieve changes in the large numbers.  </t>
  </si>
  <si>
    <t>EBIT gain projections</t>
  </si>
  <si>
    <t>After costs</t>
  </si>
  <si>
    <t xml:space="preserve">Results improve as the team learns how to best deliver ideal actions, </t>
  </si>
  <si>
    <t xml:space="preserve"> and which ideal actions enable best results.</t>
  </si>
  <si>
    <t>Costs</t>
  </si>
  <si>
    <t>OPDI</t>
  </si>
  <si>
    <t xml:space="preserve">No hidden costs. </t>
  </si>
  <si>
    <t>Internal admistrative</t>
  </si>
  <si>
    <t>Payback</t>
  </si>
  <si>
    <t>After costs, year 1</t>
  </si>
  <si>
    <t>Year 2, after costs</t>
  </si>
  <si>
    <t xml:space="preserve">Improved: </t>
  </si>
  <si>
    <t>Clarity, focus and accuracy</t>
  </si>
  <si>
    <t>Skills</t>
  </si>
  <si>
    <t>Engagement and motivation</t>
  </si>
  <si>
    <t xml:space="preserve">Increase human performance by at least 10%  </t>
  </si>
  <si>
    <t xml:space="preserve">Goal achievment </t>
  </si>
  <si>
    <t xml:space="preserve">Because ideal actions derived from goals, then given all things equal, </t>
  </si>
  <si>
    <t>improved delivery of ideal actions must improve goals.</t>
  </si>
  <si>
    <t>Impact on sales and costs</t>
  </si>
  <si>
    <t xml:space="preserve">OPDPPL, for sales and costs is the impact on the numbers </t>
  </si>
  <si>
    <t xml:space="preserve">OPDPPL is impact of improved delivery </t>
  </si>
  <si>
    <t xml:space="preserve">of 1% increase in effective delivery of ideal actions under OPD-HCD™. </t>
  </si>
  <si>
    <t>of ideal actions on the numbers.</t>
  </si>
  <si>
    <t xml:space="preserve">OPDPIF is the increase in human performance multiplied by the OPDPPL. </t>
  </si>
  <si>
    <t>OPDPPL*OPD gain human perf=OPDPIF</t>
  </si>
  <si>
    <t>Multiplier effect</t>
  </si>
  <si>
    <t xml:space="preserve">The multiplier effect then results in significant profit gains. </t>
  </si>
  <si>
    <t>Key questions</t>
  </si>
  <si>
    <t xml:space="preserve">Does the Executive 'sense' staff performance could be improved? By how much? </t>
  </si>
  <si>
    <t xml:space="preserve">If staff performance improved 10%, what increase in results is projected? </t>
  </si>
  <si>
    <t xml:space="preserve">Does Executive judge that improved staff actions alone could increase sales and </t>
  </si>
  <si>
    <t>reduce costs as projected.</t>
  </si>
  <si>
    <t>Key issues</t>
  </si>
  <si>
    <t xml:space="preserve">CEO commitment to identification and delivery of ideal actions. </t>
  </si>
  <si>
    <t>Verbal ready Executive.</t>
  </si>
  <si>
    <t xml:space="preserve">HR partners with team leaders supporting develop their team.  </t>
  </si>
  <si>
    <t xml:space="preserve">People choose personal success, clear minded, having fun, striving for </t>
  </si>
  <si>
    <t>perfect game plans perfectly delivered.</t>
  </si>
  <si>
    <t>Sales link</t>
  </si>
  <si>
    <t>D/cost link</t>
  </si>
  <si>
    <t>0.2%-0.3%</t>
  </si>
  <si>
    <t>Overhead link</t>
  </si>
  <si>
    <t>0.1%-0.2%</t>
  </si>
  <si>
    <t>Operating costs</t>
  </si>
  <si>
    <t>OPD annual cost</t>
  </si>
  <si>
    <t>Profit after OPD costs</t>
  </si>
  <si>
    <t>0.3%-0.4%</t>
  </si>
  <si>
    <t xml:space="preserve">Profit increase after OPD </t>
  </si>
  <si>
    <t>Roles/total staff</t>
  </si>
  <si>
    <t>No hidden costs</t>
  </si>
  <si>
    <t>Year 1 projected profit after OPD costs</t>
  </si>
  <si>
    <r>
      <rPr>
        <b/>
        <sz val="12"/>
        <rFont val="Arial"/>
        <family val="1"/>
      </rPr>
      <t>Multiplier effect:</t>
    </r>
    <r>
      <rPr>
        <sz val="12"/>
        <rFont val="Arial"/>
        <family val="1"/>
      </rPr>
      <t xml:space="preserve"> Profit is the difference between two </t>
    </r>
  </si>
  <si>
    <r>
      <t xml:space="preserve">Staff satisfaction </t>
    </r>
    <r>
      <rPr>
        <b/>
        <i/>
        <sz val="12"/>
        <rFont val="Arial"/>
        <family val="1"/>
      </rPr>
      <t>builds after</t>
    </r>
    <r>
      <rPr>
        <sz val="12"/>
        <rFont val="Arial"/>
        <family val="1"/>
      </rPr>
      <t xml:space="preserve"> the results achieved. Exactly as for say, All Blacks. </t>
    </r>
  </si>
  <si>
    <t xml:space="preserve">Manufacturing business </t>
  </si>
  <si>
    <t>8% - 15%</t>
  </si>
  <si>
    <t>Royalty to OPDI</t>
  </si>
  <si>
    <t>Fee to the Regional Master Distributor</t>
  </si>
  <si>
    <t>Fee to Consultancy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</si>
</sst>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;\-&quot;$&quot;#,##0"/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164" formatCode="&quot;$&quot;#,##0"/>
    <numFmt numFmtId="165" formatCode="0.0%"/>
    <numFmt numFmtId="166" formatCode="#,##0_ ;\-#,##0\ 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18"/>
      <name val="Arial"/>
      <family val="2"/>
    </font>
    <font>
      <b/>
      <sz val="12"/>
      <color indexed="18"/>
      <name val="Times New Roman"/>
      <family val="1"/>
    </font>
    <font>
      <b/>
      <sz val="16"/>
      <color indexed="18"/>
      <name val="Arial"/>
      <family val="2"/>
    </font>
    <font>
      <b/>
      <sz val="12"/>
      <color indexed="10"/>
      <name val="Arial"/>
      <family val="2"/>
    </font>
    <font>
      <sz val="12"/>
      <name val="Times New Roman"/>
      <family val="1"/>
    </font>
    <font>
      <sz val="12"/>
      <color rgb="FF0070C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2"/>
      <color theme="9" tint="-0.249977111117893"/>
      <name val="Times New Roman"/>
      <family val="1"/>
    </font>
    <font>
      <b/>
      <sz val="12"/>
      <color theme="9" tint="-0.249977111117893"/>
      <name val="Times New Roman"/>
      <family val="1"/>
    </font>
    <font>
      <sz val="12"/>
      <color theme="0"/>
      <name val="Times New Roman"/>
      <family val="1"/>
    </font>
    <font>
      <b/>
      <sz val="12"/>
      <color theme="8" tint="-0.249977111117893"/>
      <name val="Times New Roman"/>
      <family val="1"/>
    </font>
    <font>
      <b/>
      <sz val="12"/>
      <name val="Arial"/>
      <family val="1"/>
    </font>
    <font>
      <sz val="12"/>
      <name val="Arial"/>
      <family val="1"/>
    </font>
    <font>
      <b/>
      <sz val="12"/>
      <color theme="0"/>
      <name val="Times New Roman"/>
      <family val="1"/>
    </font>
    <font>
      <b/>
      <i/>
      <sz val="12"/>
      <name val="Arial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</cellStyleXfs>
  <cellXfs count="94">
    <xf numFmtId="0" fontId="0" fillId="0" borderId="0" xfId="0"/>
    <xf numFmtId="0" fontId="3" fillId="2" borderId="0" xfId="0" applyFont="1" applyFill="1"/>
    <xf numFmtId="0" fontId="3" fillId="2" borderId="2" xfId="0" applyFont="1" applyFill="1" applyBorder="1"/>
    <xf numFmtId="0" fontId="3" fillId="2" borderId="0" xfId="0" applyFont="1" applyFill="1" applyAlignment="1">
      <alignment horizontal="right"/>
    </xf>
    <xf numFmtId="42" fontId="3" fillId="2" borderId="5" xfId="0" applyNumberFormat="1" applyFont="1" applyFill="1" applyBorder="1"/>
    <xf numFmtId="0" fontId="3" fillId="2" borderId="0" xfId="0" applyFont="1" applyFill="1" applyAlignment="1">
      <alignment horizontal="center"/>
    </xf>
    <xf numFmtId="0" fontId="3" fillId="2" borderId="3" xfId="0" applyFont="1" applyFill="1" applyBorder="1"/>
    <xf numFmtId="0" fontId="3" fillId="2" borderId="4" xfId="0" applyFont="1" applyFill="1" applyBorder="1"/>
    <xf numFmtId="0" fontId="3" fillId="2" borderId="4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42" fontId="3" fillId="2" borderId="0" xfId="0" applyNumberFormat="1" applyFont="1" applyFill="1"/>
    <xf numFmtId="9" fontId="3" fillId="2" borderId="0" xfId="0" applyNumberFormat="1" applyFont="1" applyFill="1" applyAlignment="1">
      <alignment horizontal="left"/>
    </xf>
    <xf numFmtId="0" fontId="4" fillId="2" borderId="0" xfId="0" applyFont="1" applyFill="1" applyAlignment="1">
      <alignment horizontal="right"/>
    </xf>
    <xf numFmtId="9" fontId="3" fillId="2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165" fontId="3" fillId="2" borderId="0" xfId="0" applyNumberFormat="1" applyFont="1" applyFill="1" applyAlignment="1">
      <alignment horizontal="center"/>
    </xf>
    <xf numFmtId="10" fontId="3" fillId="2" borderId="0" xfId="0" applyNumberFormat="1" applyFont="1" applyFill="1" applyAlignment="1">
      <alignment horizontal="center"/>
    </xf>
    <xf numFmtId="9" fontId="3" fillId="2" borderId="1" xfId="2" applyFont="1" applyFill="1" applyBorder="1" applyAlignment="1">
      <alignment horizontal="center"/>
    </xf>
    <xf numFmtId="42" fontId="3" fillId="2" borderId="0" xfId="1" applyNumberFormat="1" applyFont="1" applyFill="1"/>
    <xf numFmtId="165" fontId="3" fillId="2" borderId="0" xfId="0" applyNumberFormat="1" applyFont="1" applyFill="1"/>
    <xf numFmtId="165" fontId="3" fillId="2" borderId="1" xfId="0" applyNumberFormat="1" applyFont="1" applyFill="1" applyBorder="1"/>
    <xf numFmtId="165" fontId="6" fillId="2" borderId="0" xfId="0" applyNumberFormat="1" applyFont="1" applyFill="1"/>
    <xf numFmtId="0" fontId="5" fillId="2" borderId="6" xfId="0" applyFont="1" applyFill="1" applyBorder="1"/>
    <xf numFmtId="0" fontId="5" fillId="2" borderId="7" xfId="0" applyFont="1" applyFill="1" applyBorder="1"/>
    <xf numFmtId="42" fontId="5" fillId="2" borderId="7" xfId="0" applyNumberFormat="1" applyFont="1" applyFill="1" applyBorder="1"/>
    <xf numFmtId="165" fontId="5" fillId="2" borderId="8" xfId="0" applyNumberFormat="1" applyFont="1" applyFill="1" applyBorder="1"/>
    <xf numFmtId="42" fontId="3" fillId="2" borderId="0" xfId="1" applyNumberFormat="1" applyFont="1" applyFill="1" applyProtection="1">
      <protection locked="0"/>
    </xf>
    <xf numFmtId="0" fontId="7" fillId="7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7" borderId="0" xfId="0" applyFont="1" applyFill="1" applyAlignment="1">
      <alignment vertical="center"/>
    </xf>
    <xf numFmtId="42" fontId="9" fillId="6" borderId="0" xfId="1" applyNumberFormat="1" applyFont="1" applyFill="1" applyBorder="1" applyAlignment="1" applyProtection="1">
      <alignment horizontal="right" vertical="center"/>
      <protection locked="0"/>
    </xf>
    <xf numFmtId="5" fontId="9" fillId="6" borderId="0" xfId="0" applyNumberFormat="1" applyFont="1" applyFill="1" applyBorder="1" applyAlignment="1">
      <alignment horizontal="center" vertical="center"/>
    </xf>
    <xf numFmtId="0" fontId="7" fillId="7" borderId="0" xfId="0" applyFont="1" applyFill="1" applyBorder="1" applyAlignment="1">
      <alignment vertical="center"/>
    </xf>
    <xf numFmtId="0" fontId="9" fillId="3" borderId="0" xfId="0" applyFont="1" applyFill="1" applyBorder="1" applyAlignment="1" applyProtection="1">
      <alignment horizontal="left" vertical="center"/>
      <protection locked="0"/>
    </xf>
    <xf numFmtId="164" fontId="9" fillId="0" borderId="0" xfId="0" applyNumberFormat="1" applyFont="1" applyBorder="1" applyAlignment="1">
      <alignment vertical="center"/>
    </xf>
    <xf numFmtId="1" fontId="9" fillId="3" borderId="0" xfId="0" applyNumberFormat="1" applyFont="1" applyFill="1" applyBorder="1" applyAlignment="1" applyProtection="1">
      <alignment horizontal="center" vertical="center"/>
      <protection locked="0"/>
    </xf>
    <xf numFmtId="166" fontId="9" fillId="3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right" vertical="center"/>
    </xf>
    <xf numFmtId="1" fontId="9" fillId="0" borderId="0" xfId="0" applyNumberFormat="1" applyFont="1" applyBorder="1" applyAlignment="1">
      <alignment horizontal="center" vertical="center"/>
    </xf>
    <xf numFmtId="3" fontId="9" fillId="3" borderId="0" xfId="0" applyNumberFormat="1" applyFont="1" applyFill="1" applyBorder="1" applyAlignment="1" applyProtection="1">
      <alignment horizontal="center" vertical="center"/>
      <protection locked="0"/>
    </xf>
    <xf numFmtId="42" fontId="9" fillId="3" borderId="0" xfId="0" applyNumberFormat="1" applyFont="1" applyFill="1" applyBorder="1" applyAlignment="1" applyProtection="1">
      <alignment vertical="center"/>
      <protection locked="0"/>
    </xf>
    <xf numFmtId="165" fontId="9" fillId="3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165" fontId="9" fillId="0" borderId="0" xfId="0" applyNumberFormat="1" applyFont="1" applyBorder="1" applyAlignment="1">
      <alignment horizontal="center" vertical="center"/>
    </xf>
    <xf numFmtId="10" fontId="9" fillId="3" borderId="0" xfId="0" applyNumberFormat="1" applyFont="1" applyFill="1" applyBorder="1" applyAlignment="1" applyProtection="1">
      <alignment horizontal="center" vertical="center"/>
      <protection locked="0"/>
    </xf>
    <xf numFmtId="10" fontId="9" fillId="0" borderId="0" xfId="0" applyNumberFormat="1" applyFont="1" applyBorder="1" applyAlignment="1">
      <alignment horizontal="center" vertical="center"/>
    </xf>
    <xf numFmtId="9" fontId="9" fillId="0" borderId="0" xfId="2" applyFont="1" applyBorder="1" applyAlignment="1">
      <alignment horizontal="center" vertical="center"/>
    </xf>
    <xf numFmtId="42" fontId="9" fillId="0" borderId="0" xfId="1" applyNumberFormat="1" applyFont="1" applyBorder="1" applyAlignment="1">
      <alignment vertical="center"/>
    </xf>
    <xf numFmtId="42" fontId="9" fillId="0" borderId="0" xfId="1" applyNumberFormat="1" applyFont="1" applyBorder="1" applyAlignment="1" applyProtection="1">
      <alignment vertical="center"/>
      <protection locked="0"/>
    </xf>
    <xf numFmtId="165" fontId="9" fillId="0" borderId="0" xfId="0" applyNumberFormat="1" applyFont="1" applyBorder="1" applyAlignment="1">
      <alignment vertical="center"/>
    </xf>
    <xf numFmtId="42" fontId="9" fillId="0" borderId="0" xfId="0" applyNumberFormat="1" applyFont="1" applyBorder="1" applyAlignment="1">
      <alignment vertical="center"/>
    </xf>
    <xf numFmtId="0" fontId="9" fillId="4" borderId="0" xfId="0" applyFont="1" applyFill="1" applyBorder="1" applyAlignment="1">
      <alignment horizontal="center" vertical="center"/>
    </xf>
    <xf numFmtId="165" fontId="9" fillId="4" borderId="0" xfId="0" applyNumberFormat="1" applyFont="1" applyFill="1" applyBorder="1" applyAlignment="1">
      <alignment horizontal="center" vertical="center"/>
    </xf>
    <xf numFmtId="42" fontId="9" fillId="4" borderId="0" xfId="0" applyNumberFormat="1" applyFont="1" applyFill="1" applyBorder="1" applyAlignment="1">
      <alignment vertical="center"/>
    </xf>
    <xf numFmtId="0" fontId="9" fillId="5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left"/>
    </xf>
    <xf numFmtId="0" fontId="9" fillId="5" borderId="0" xfId="0" applyFont="1" applyFill="1" applyBorder="1" applyAlignment="1">
      <alignment horizontal="right" vertical="center"/>
    </xf>
    <xf numFmtId="165" fontId="9" fillId="5" borderId="0" xfId="0" applyNumberFormat="1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left" vertical="center"/>
    </xf>
    <xf numFmtId="0" fontId="10" fillId="5" borderId="0" xfId="0" applyFont="1" applyFill="1" applyBorder="1" applyAlignment="1">
      <alignment horizontal="right" vertical="center"/>
    </xf>
    <xf numFmtId="0" fontId="7" fillId="5" borderId="0" xfId="0" applyFont="1" applyFill="1" applyBorder="1" applyAlignment="1">
      <alignment horizontal="right" vertical="center"/>
    </xf>
    <xf numFmtId="0" fontId="7" fillId="5" borderId="0" xfId="0" applyFont="1" applyFill="1" applyBorder="1" applyAlignment="1">
      <alignment vertical="center"/>
    </xf>
    <xf numFmtId="42" fontId="9" fillId="5" borderId="0" xfId="0" applyNumberFormat="1" applyFont="1" applyFill="1" applyBorder="1" applyAlignment="1">
      <alignment horizontal="left" vertical="center"/>
    </xf>
    <xf numFmtId="0" fontId="17" fillId="8" borderId="0" xfId="0" applyFont="1" applyFill="1" applyBorder="1" applyAlignment="1">
      <alignment horizontal="left" vertical="center"/>
    </xf>
    <xf numFmtId="0" fontId="13" fillId="8" borderId="0" xfId="0" applyFont="1" applyFill="1" applyBorder="1" applyAlignment="1">
      <alignment vertical="center"/>
    </xf>
    <xf numFmtId="42" fontId="10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42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2" fontId="7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2" fontId="7" fillId="0" borderId="0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horizontal="right" vertical="center"/>
    </xf>
    <xf numFmtId="0" fontId="12" fillId="6" borderId="0" xfId="0" applyFont="1" applyFill="1" applyBorder="1" applyAlignment="1" applyProtection="1">
      <alignment horizontal="right" vertical="center"/>
      <protection locked="0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42" fontId="9" fillId="6" borderId="9" xfId="1" applyNumberFormat="1" applyFont="1" applyFill="1" applyBorder="1" applyAlignment="1" applyProtection="1">
      <alignment horizontal="right" vertical="center"/>
      <protection locked="0"/>
    </xf>
    <xf numFmtId="5" fontId="9" fillId="6" borderId="9" xfId="0" applyNumberFormat="1" applyFont="1" applyFill="1" applyBorder="1" applyAlignment="1">
      <alignment horizontal="center" vertical="center"/>
    </xf>
    <xf numFmtId="42" fontId="9" fillId="0" borderId="9" xfId="1" applyNumberFormat="1" applyFont="1" applyBorder="1" applyAlignment="1">
      <alignment vertical="center"/>
    </xf>
    <xf numFmtId="10" fontId="9" fillId="0" borderId="9" xfId="0" applyNumberFormat="1" applyFont="1" applyBorder="1" applyAlignment="1">
      <alignment horizontal="center" vertical="center"/>
    </xf>
    <xf numFmtId="42" fontId="9" fillId="6" borderId="9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7" fillId="5" borderId="0" xfId="0" applyFont="1" applyFill="1" applyBorder="1" applyAlignment="1">
      <alignment vertical="center"/>
    </xf>
    <xf numFmtId="0" fontId="9" fillId="5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42" fontId="9" fillId="0" borderId="0" xfId="0" applyNumberFormat="1" applyFont="1" applyFill="1" applyBorder="1" applyAlignment="1" applyProtection="1">
      <alignment vertical="center"/>
    </xf>
  </cellXfs>
  <cellStyles count="4">
    <cellStyle name="Currency" xfId="1" builtinId="4"/>
    <cellStyle name="Normal" xfId="0" builtinId="0"/>
    <cellStyle name="Normal 2" xfId="3" xr:uid="{00000000-0005-0000-0000-000002000000}"/>
    <cellStyle name="Percent" xfId="2" builtinId="5"/>
  </cellStyles>
  <dxfs count="5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9C0006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mruColors>
      <color rgb="FFCCECFF"/>
      <color rgb="FFFFFF99"/>
      <color rgb="FFFFFFCC"/>
      <color rgb="FFE2EFDA"/>
      <color rgb="FFC6E7AD"/>
      <color rgb="FF478966"/>
      <color rgb="FFA0DB83"/>
      <color rgb="FFCCFFCC"/>
      <color rgb="FF99CC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3"/>
  <sheetViews>
    <sheetView tabSelected="1" topLeftCell="A7" zoomScale="75" zoomScaleNormal="75" workbookViewId="0">
      <selection activeCell="I19" sqref="I19"/>
    </sheetView>
  </sheetViews>
  <sheetFormatPr defaultColWidth="9.140625" defaultRowHeight="17.100000000000001" customHeight="1" x14ac:dyDescent="0.2"/>
  <cols>
    <col min="1" max="1" width="1.42578125" style="29" customWidth="1"/>
    <col min="2" max="2" width="43.28515625" style="71" customWidth="1"/>
    <col min="3" max="3" width="28.140625" style="71" customWidth="1"/>
    <col min="4" max="4" width="18" style="71" customWidth="1"/>
    <col min="5" max="5" width="24.140625" style="71" customWidth="1"/>
    <col min="6" max="7" width="21.42578125" style="71" customWidth="1"/>
    <col min="8" max="8" width="1.140625" style="29" customWidth="1"/>
    <col min="9" max="9" width="71.85546875" style="29" customWidth="1"/>
    <col min="10" max="16384" width="9.140625" style="29"/>
  </cols>
  <sheetData>
    <row r="1" spans="1:8" ht="8.25" customHeight="1" x14ac:dyDescent="0.2">
      <c r="A1" s="28"/>
      <c r="B1" s="33"/>
      <c r="C1" s="33"/>
      <c r="D1" s="33"/>
      <c r="E1" s="33"/>
      <c r="F1" s="33"/>
      <c r="G1" s="33"/>
      <c r="H1" s="28"/>
    </row>
    <row r="2" spans="1:8" ht="22.5" customHeight="1" x14ac:dyDescent="0.2">
      <c r="A2" s="28"/>
      <c r="B2" s="85" t="s">
        <v>0</v>
      </c>
      <c r="C2" s="85"/>
      <c r="D2" s="85"/>
      <c r="E2" s="85"/>
      <c r="F2" s="85"/>
      <c r="G2" s="85"/>
      <c r="H2" s="30"/>
    </row>
    <row r="3" spans="1:8" ht="31.9" customHeight="1" x14ac:dyDescent="0.2">
      <c r="A3" s="28"/>
      <c r="B3" s="92" t="s">
        <v>1</v>
      </c>
      <c r="C3" s="92"/>
      <c r="D3" s="92"/>
      <c r="E3" s="92"/>
      <c r="F3" s="92"/>
      <c r="G3" s="92"/>
      <c r="H3" s="30"/>
    </row>
    <row r="4" spans="1:8" ht="17.100000000000001" customHeight="1" x14ac:dyDescent="0.2">
      <c r="A4" s="28"/>
      <c r="B4" s="34" t="s">
        <v>100</v>
      </c>
      <c r="C4" s="89" t="s">
        <v>2</v>
      </c>
      <c r="D4" s="89"/>
      <c r="E4" s="35" t="s">
        <v>95</v>
      </c>
      <c r="F4" s="36">
        <v>20</v>
      </c>
      <c r="G4" s="37">
        <v>35</v>
      </c>
      <c r="H4" s="28"/>
    </row>
    <row r="5" spans="1:8" ht="17.100000000000001" customHeight="1" x14ac:dyDescent="0.2">
      <c r="A5" s="28"/>
      <c r="B5" s="38" t="s">
        <v>3</v>
      </c>
      <c r="C5" s="36">
        <v>1</v>
      </c>
      <c r="D5" s="39" t="s">
        <v>4</v>
      </c>
      <c r="E5" s="40">
        <v>1</v>
      </c>
      <c r="F5" s="39" t="s">
        <v>5</v>
      </c>
      <c r="G5" s="37">
        <v>1</v>
      </c>
      <c r="H5" s="28"/>
    </row>
    <row r="6" spans="1:8" ht="17.100000000000001" customHeight="1" x14ac:dyDescent="0.2">
      <c r="A6" s="28"/>
      <c r="B6" s="38" t="s">
        <v>6</v>
      </c>
      <c r="C6" s="41">
        <v>12000000</v>
      </c>
      <c r="D6" s="38" t="s">
        <v>7</v>
      </c>
      <c r="E6" s="42">
        <v>0.44</v>
      </c>
      <c r="F6" s="38" t="s">
        <v>8</v>
      </c>
      <c r="G6" s="42">
        <v>0.36</v>
      </c>
      <c r="H6" s="28"/>
    </row>
    <row r="7" spans="1:8" ht="16.5" customHeight="1" x14ac:dyDescent="0.2">
      <c r="A7" s="28"/>
      <c r="B7" s="43"/>
      <c r="C7" s="44" t="s">
        <v>9</v>
      </c>
      <c r="D7" s="43" t="s">
        <v>10</v>
      </c>
      <c r="E7" s="45" t="s">
        <v>11</v>
      </c>
      <c r="F7" s="45" t="s">
        <v>12</v>
      </c>
      <c r="G7" s="45" t="s">
        <v>13</v>
      </c>
      <c r="H7" s="28"/>
    </row>
    <row r="8" spans="1:8" ht="17.100000000000001" customHeight="1" x14ac:dyDescent="0.2">
      <c r="A8" s="28"/>
      <c r="B8" s="44" t="s">
        <v>14</v>
      </c>
      <c r="C8" s="43" t="s">
        <v>15</v>
      </c>
      <c r="D8" s="42">
        <v>0.08</v>
      </c>
      <c r="E8" s="46">
        <f>D8+0.015</f>
        <v>9.5000000000000001E-2</v>
      </c>
      <c r="F8" s="46">
        <f>E8+0.005</f>
        <v>0.1</v>
      </c>
      <c r="G8" s="45" t="s">
        <v>101</v>
      </c>
      <c r="H8" s="28"/>
    </row>
    <row r="9" spans="1:8" ht="17.100000000000001" customHeight="1" x14ac:dyDescent="0.2">
      <c r="A9" s="28"/>
      <c r="B9" s="43" t="s">
        <v>16</v>
      </c>
      <c r="C9" s="43" t="s">
        <v>17</v>
      </c>
      <c r="D9" s="47">
        <v>3.0000000000000001E-3</v>
      </c>
      <c r="E9" s="48">
        <f>IF(D9=0,0,D9+0.0008)</f>
        <v>3.8E-3</v>
      </c>
      <c r="F9" s="48">
        <f>IF(E9=0,0,E9+0.0003)</f>
        <v>4.1000000000000003E-3</v>
      </c>
      <c r="G9" s="45" t="s">
        <v>18</v>
      </c>
      <c r="H9" s="28"/>
    </row>
    <row r="10" spans="1:8" ht="17.100000000000001" customHeight="1" x14ac:dyDescent="0.2">
      <c r="A10" s="28"/>
      <c r="B10" s="43" t="s">
        <v>19</v>
      </c>
      <c r="C10" s="43" t="s">
        <v>20</v>
      </c>
      <c r="D10" s="47">
        <v>2E-3</v>
      </c>
      <c r="E10" s="48">
        <f>IF(D10=0,0,D10+0.0008)</f>
        <v>2.8E-3</v>
      </c>
      <c r="F10" s="48">
        <f>IF(E10=0,0,E10+0.0003)</f>
        <v>3.0999999999999999E-3</v>
      </c>
      <c r="G10" s="45" t="s">
        <v>21</v>
      </c>
      <c r="H10" s="28"/>
    </row>
    <row r="11" spans="1:8" ht="17.100000000000001" customHeight="1" x14ac:dyDescent="0.2">
      <c r="A11" s="28"/>
      <c r="B11" s="43" t="s">
        <v>22</v>
      </c>
      <c r="C11" s="43" t="s">
        <v>23</v>
      </c>
      <c r="D11" s="47">
        <v>1E-3</v>
      </c>
      <c r="E11" s="48">
        <f>IF(D11=0,0,D11+0.0008)</f>
        <v>1.8E-3</v>
      </c>
      <c r="F11" s="48">
        <f>IF(E11=0,0,E11+0.0003)</f>
        <v>2.0999999999999999E-3</v>
      </c>
      <c r="G11" s="45" t="s">
        <v>24</v>
      </c>
      <c r="H11" s="28"/>
    </row>
    <row r="12" spans="1:8" ht="17.100000000000001" customHeight="1" x14ac:dyDescent="0.2">
      <c r="A12" s="28"/>
      <c r="B12" s="43"/>
      <c r="C12" s="43" t="s">
        <v>25</v>
      </c>
      <c r="D12" s="45" t="s">
        <v>26</v>
      </c>
      <c r="E12" s="45" t="s">
        <v>27</v>
      </c>
      <c r="F12" s="45" t="s">
        <v>28</v>
      </c>
      <c r="G12" s="49" t="s">
        <v>26</v>
      </c>
      <c r="H12" s="28"/>
    </row>
    <row r="13" spans="1:8" ht="17.100000000000001" customHeight="1" x14ac:dyDescent="0.2">
      <c r="A13" s="28"/>
      <c r="B13" s="43" t="s">
        <v>6</v>
      </c>
      <c r="C13" s="50">
        <f>C6</f>
        <v>12000000</v>
      </c>
      <c r="D13" s="46">
        <v>1</v>
      </c>
      <c r="E13" s="46">
        <f>D8*D9*100</f>
        <v>2.4E-2</v>
      </c>
      <c r="F13" s="50">
        <f>C13*(1+E13)</f>
        <v>12288000</v>
      </c>
      <c r="G13" s="46">
        <v>1</v>
      </c>
      <c r="H13" s="28"/>
    </row>
    <row r="14" spans="1:8" ht="17.100000000000001" customHeight="1" x14ac:dyDescent="0.2">
      <c r="A14" s="28"/>
      <c r="B14" s="43" t="s">
        <v>29</v>
      </c>
      <c r="C14" s="50">
        <f>C6*(1-E6)</f>
        <v>6720000.0000000009</v>
      </c>
      <c r="D14" s="46">
        <f>C14/$C13</f>
        <v>0.56000000000000005</v>
      </c>
      <c r="E14" s="46">
        <f>-(D8*D10*100)</f>
        <v>-1.6E-2</v>
      </c>
      <c r="F14" s="50">
        <f>(D14*(1+E14))*F13</f>
        <v>6771179.5200000014</v>
      </c>
      <c r="G14" s="46">
        <f>F14/F13</f>
        <v>0.55104000000000009</v>
      </c>
      <c r="H14" s="28"/>
    </row>
    <row r="15" spans="1:8" ht="17.100000000000001" customHeight="1" x14ac:dyDescent="0.2">
      <c r="A15" s="28"/>
      <c r="B15" s="43" t="s">
        <v>30</v>
      </c>
      <c r="C15" s="50">
        <f>C13-C14</f>
        <v>5279999.9999999991</v>
      </c>
      <c r="D15" s="46">
        <f>C15/C13</f>
        <v>0.43999999999999995</v>
      </c>
      <c r="E15" s="45"/>
      <c r="F15" s="50">
        <f>F13-F14</f>
        <v>5516820.4799999986</v>
      </c>
      <c r="G15" s="46">
        <f>F15/F13</f>
        <v>0.44895999999999986</v>
      </c>
      <c r="H15" s="28"/>
    </row>
    <row r="16" spans="1:8" ht="17.100000000000001" customHeight="1" x14ac:dyDescent="0.2">
      <c r="A16" s="28"/>
      <c r="B16" s="43" t="s">
        <v>31</v>
      </c>
      <c r="C16" s="51">
        <f>C13*G6</f>
        <v>4320000</v>
      </c>
      <c r="D16" s="46">
        <f>C16/C13</f>
        <v>0.36</v>
      </c>
      <c r="E16" s="46">
        <f>-(D8*100*D11)</f>
        <v>-8.0000000000000002E-3</v>
      </c>
      <c r="F16" s="50">
        <f>(C16*(1+E16))</f>
        <v>4285440</v>
      </c>
      <c r="G16" s="46">
        <f>F16/F13</f>
        <v>0.34875</v>
      </c>
      <c r="H16" s="28"/>
    </row>
    <row r="17" spans="1:8" ht="17.100000000000001" customHeight="1" thickBot="1" x14ac:dyDescent="0.25">
      <c r="A17" s="28"/>
      <c r="B17" s="79" t="s">
        <v>32</v>
      </c>
      <c r="C17" s="80" t="s">
        <v>9</v>
      </c>
      <c r="D17" s="81" t="s">
        <v>9</v>
      </c>
      <c r="E17" s="84" t="s">
        <v>9</v>
      </c>
      <c r="F17" s="82">
        <v>87000</v>
      </c>
      <c r="G17" s="83"/>
      <c r="H17" s="28"/>
    </row>
    <row r="18" spans="1:8" ht="17.100000000000001" customHeight="1" thickTop="1" x14ac:dyDescent="0.2">
      <c r="A18" s="28"/>
      <c r="B18" s="43" t="s">
        <v>104</v>
      </c>
      <c r="C18" s="31"/>
      <c r="D18" s="32"/>
      <c r="E18" s="41">
        <v>52000</v>
      </c>
      <c r="F18" s="50"/>
      <c r="G18" s="48"/>
      <c r="H18" s="28"/>
    </row>
    <row r="19" spans="1:8" ht="17.100000000000001" customHeight="1" x14ac:dyDescent="0.2">
      <c r="A19" s="28"/>
      <c r="B19" s="43" t="s">
        <v>103</v>
      </c>
      <c r="C19" s="31"/>
      <c r="D19" s="32"/>
      <c r="E19" s="93">
        <v>12000</v>
      </c>
      <c r="F19" s="50"/>
      <c r="G19" s="48"/>
      <c r="H19" s="28"/>
    </row>
    <row r="20" spans="1:8" ht="17.100000000000001" customHeight="1" thickBot="1" x14ac:dyDescent="0.25">
      <c r="A20" s="28"/>
      <c r="B20" s="79" t="s">
        <v>102</v>
      </c>
      <c r="C20" s="80"/>
      <c r="D20" s="81"/>
      <c r="E20" s="84">
        <v>24000</v>
      </c>
      <c r="F20" s="82"/>
      <c r="G20" s="83"/>
      <c r="H20" s="28"/>
    </row>
    <row r="21" spans="1:8" ht="17.100000000000001" customHeight="1" thickTop="1" x14ac:dyDescent="0.2">
      <c r="A21" s="28"/>
      <c r="B21" s="43" t="s">
        <v>33</v>
      </c>
      <c r="C21" s="51"/>
      <c r="D21" s="48"/>
      <c r="E21" s="52"/>
      <c r="F21" s="50">
        <v>5000</v>
      </c>
      <c r="G21" s="48"/>
      <c r="H21" s="28"/>
    </row>
    <row r="22" spans="1:8" ht="17.100000000000001" customHeight="1" x14ac:dyDescent="0.2">
      <c r="A22" s="28"/>
      <c r="B22" s="43" t="s">
        <v>34</v>
      </c>
      <c r="C22" s="50">
        <f>C15-C16</f>
        <v>959999.99999999907</v>
      </c>
      <c r="D22" s="46">
        <f>C22/C13</f>
        <v>7.9999999999999918E-2</v>
      </c>
      <c r="E22" s="43"/>
      <c r="F22" s="50">
        <f>F15-(F16+F17+F21)</f>
        <v>1139380.4799999986</v>
      </c>
      <c r="G22" s="46">
        <f>F22/F13</f>
        <v>9.2723020833333211E-2</v>
      </c>
      <c r="H22" s="28"/>
    </row>
    <row r="23" spans="1:8" ht="17.100000000000001" customHeight="1" x14ac:dyDescent="0.2">
      <c r="A23" s="28"/>
      <c r="B23" s="43" t="s">
        <v>97</v>
      </c>
      <c r="C23" s="45" t="s">
        <v>96</v>
      </c>
      <c r="D23" s="43"/>
      <c r="E23" s="43"/>
      <c r="F23" s="53">
        <f>F22-C22</f>
        <v>179380.47999999952</v>
      </c>
      <c r="G23" s="46">
        <f>F23/F13</f>
        <v>1.4598020833333294E-2</v>
      </c>
      <c r="H23" s="28"/>
    </row>
    <row r="24" spans="1:8" ht="17.100000000000001" customHeight="1" x14ac:dyDescent="0.2">
      <c r="A24" s="28"/>
      <c r="B24" s="43"/>
      <c r="C24" s="43"/>
      <c r="D24" s="54" t="s">
        <v>25</v>
      </c>
      <c r="E24" s="55">
        <f>D22</f>
        <v>7.9999999999999918E-2</v>
      </c>
      <c r="F24" s="88" t="s">
        <v>35</v>
      </c>
      <c r="G24" s="88"/>
      <c r="H24" s="28"/>
    </row>
    <row r="25" spans="1:8" ht="17.100000000000001" customHeight="1" x14ac:dyDescent="0.2">
      <c r="A25" s="28"/>
      <c r="B25" s="85" t="s">
        <v>36</v>
      </c>
      <c r="C25" s="85"/>
      <c r="D25" s="54" t="s">
        <v>10</v>
      </c>
      <c r="E25" s="55">
        <f>D$22+G25</f>
        <v>9.4598020833333213E-2</v>
      </c>
      <c r="F25" s="56">
        <f>F23</f>
        <v>179380.47999999952</v>
      </c>
      <c r="G25" s="55">
        <f>F25/F13</f>
        <v>1.4598020833333294E-2</v>
      </c>
      <c r="H25" s="28"/>
    </row>
    <row r="26" spans="1:8" ht="17.100000000000001" customHeight="1" x14ac:dyDescent="0.2">
      <c r="A26" s="28"/>
      <c r="B26" s="43" t="s">
        <v>9</v>
      </c>
      <c r="C26" s="43"/>
      <c r="D26" s="54" t="s">
        <v>11</v>
      </c>
      <c r="E26" s="55">
        <f t="shared" ref="E26:E27" si="0">D$22+G26</f>
        <v>0.10917068391081935</v>
      </c>
      <c r="F26" s="56">
        <f>'Payback yr 2&amp;3'!E16</f>
        <v>362684.94720000029</v>
      </c>
      <c r="G26" s="55">
        <f>'Payback yr 2&amp;3'!F16</f>
        <v>2.9170683910819444E-2</v>
      </c>
      <c r="H26" s="28"/>
    </row>
    <row r="27" spans="1:8" ht="17.100000000000001" customHeight="1" x14ac:dyDescent="0.2">
      <c r="A27" s="28"/>
      <c r="B27" s="43" t="s">
        <v>9</v>
      </c>
      <c r="C27" s="43"/>
      <c r="D27" s="54" t="s">
        <v>12</v>
      </c>
      <c r="E27" s="55">
        <f t="shared" si="0"/>
        <v>0.11498728146013448</v>
      </c>
      <c r="F27" s="56">
        <f>'Payback yr 2&amp;3'!E33</f>
        <v>437061.12000000104</v>
      </c>
      <c r="G27" s="55">
        <f>'Payback yr 2&amp;3'!F33</f>
        <v>3.4987281460134571E-2</v>
      </c>
      <c r="H27" s="28"/>
    </row>
    <row r="28" spans="1:8" ht="8.25" customHeight="1" x14ac:dyDescent="0.2">
      <c r="A28" s="28"/>
      <c r="B28" s="33" t="s">
        <v>9</v>
      </c>
      <c r="C28" s="33"/>
      <c r="D28" s="33"/>
      <c r="E28" s="33"/>
      <c r="F28" s="33"/>
      <c r="G28" s="33"/>
      <c r="H28" s="28"/>
    </row>
    <row r="29" spans="1:8" ht="17.100000000000001" customHeight="1" x14ac:dyDescent="0.25">
      <c r="A29" s="28"/>
      <c r="B29" s="57" t="s">
        <v>37</v>
      </c>
      <c r="C29" s="57"/>
      <c r="D29" s="58" t="s">
        <v>98</v>
      </c>
      <c r="E29" s="58"/>
      <c r="F29" s="57"/>
      <c r="G29" s="57"/>
      <c r="H29" s="28"/>
    </row>
    <row r="30" spans="1:8" ht="17.100000000000001" customHeight="1" x14ac:dyDescent="0.25">
      <c r="A30" s="28"/>
      <c r="B30" s="59" t="s">
        <v>38</v>
      </c>
      <c r="C30" s="60">
        <f>D8</f>
        <v>0.08</v>
      </c>
      <c r="D30" s="58" t="s">
        <v>39</v>
      </c>
      <c r="E30" s="58"/>
      <c r="F30" s="57"/>
      <c r="G30" s="57"/>
      <c r="H30" s="28"/>
    </row>
    <row r="31" spans="1:8" ht="17.100000000000001" customHeight="1" x14ac:dyDescent="0.25">
      <c r="A31" s="28"/>
      <c r="B31" s="59" t="s">
        <v>40</v>
      </c>
      <c r="C31" s="60">
        <f>E13</f>
        <v>2.4E-2</v>
      </c>
      <c r="D31" s="58" t="s">
        <v>41</v>
      </c>
      <c r="E31" s="58"/>
      <c r="F31" s="57"/>
      <c r="G31" s="57"/>
      <c r="H31" s="28"/>
    </row>
    <row r="32" spans="1:8" ht="17.100000000000001" customHeight="1" x14ac:dyDescent="0.2">
      <c r="A32" s="28"/>
      <c r="B32" s="59" t="s">
        <v>42</v>
      </c>
      <c r="C32" s="60">
        <f>E14</f>
        <v>-1.6E-2</v>
      </c>
      <c r="D32" s="61" t="s">
        <v>43</v>
      </c>
      <c r="E32" s="61"/>
      <c r="F32" s="57"/>
      <c r="G32" s="57"/>
      <c r="H32" s="28"/>
    </row>
    <row r="33" spans="1:8" ht="17.100000000000001" customHeight="1" x14ac:dyDescent="0.2">
      <c r="A33" s="28"/>
      <c r="B33" s="59" t="s">
        <v>44</v>
      </c>
      <c r="C33" s="60">
        <f>E16</f>
        <v>-8.0000000000000002E-3</v>
      </c>
      <c r="D33" s="61" t="s">
        <v>45</v>
      </c>
      <c r="E33" s="61"/>
      <c r="F33" s="57"/>
      <c r="G33" s="57"/>
      <c r="H33" s="28"/>
    </row>
    <row r="34" spans="1:8" ht="24" customHeight="1" x14ac:dyDescent="0.2">
      <c r="A34" s="28"/>
      <c r="B34" s="62" t="s">
        <v>46</v>
      </c>
      <c r="C34" s="63" t="s">
        <v>47</v>
      </c>
      <c r="D34" s="64"/>
      <c r="E34" s="64"/>
      <c r="F34" s="64"/>
      <c r="G34" s="64"/>
      <c r="H34" s="28"/>
    </row>
    <row r="35" spans="1:8" ht="25.5" customHeight="1" x14ac:dyDescent="0.2">
      <c r="A35" s="28"/>
      <c r="B35" s="62" t="s">
        <v>10</v>
      </c>
      <c r="C35" s="65">
        <f>F23</f>
        <v>179380.47999999952</v>
      </c>
      <c r="D35" s="66" t="s">
        <v>48</v>
      </c>
      <c r="E35" s="67"/>
      <c r="F35" s="67"/>
      <c r="G35" s="67"/>
      <c r="H35" s="28"/>
    </row>
    <row r="36" spans="1:8" ht="23.25" customHeight="1" x14ac:dyDescent="0.2">
      <c r="A36" s="28"/>
      <c r="B36" s="62" t="s">
        <v>11</v>
      </c>
      <c r="C36" s="65">
        <f>F26</f>
        <v>362684.94720000029</v>
      </c>
      <c r="D36" s="66" t="s">
        <v>49</v>
      </c>
      <c r="E36" s="67"/>
      <c r="F36" s="67"/>
      <c r="G36" s="67"/>
      <c r="H36" s="28"/>
    </row>
    <row r="37" spans="1:8" ht="23.25" customHeight="1" x14ac:dyDescent="0.2">
      <c r="A37" s="28"/>
      <c r="B37" s="62" t="s">
        <v>12</v>
      </c>
      <c r="C37" s="65">
        <f>F27</f>
        <v>437061.12000000104</v>
      </c>
      <c r="D37" s="61"/>
      <c r="E37" s="64"/>
      <c r="F37" s="64"/>
      <c r="G37" s="64"/>
      <c r="H37" s="28"/>
    </row>
    <row r="38" spans="1:8" ht="17.100000000000001" customHeight="1" x14ac:dyDescent="0.2">
      <c r="A38" s="28"/>
      <c r="B38" s="68" t="s">
        <v>50</v>
      </c>
      <c r="C38" s="69" t="s">
        <v>51</v>
      </c>
      <c r="D38" s="70">
        <f>F17</f>
        <v>87000</v>
      </c>
      <c r="E38" s="90" t="s">
        <v>52</v>
      </c>
      <c r="H38" s="28"/>
    </row>
    <row r="39" spans="1:8" ht="17.100000000000001" customHeight="1" x14ac:dyDescent="0.2">
      <c r="A39" s="28"/>
      <c r="B39" s="43"/>
      <c r="C39" s="72" t="s">
        <v>53</v>
      </c>
      <c r="D39" s="70">
        <f>F21</f>
        <v>5000</v>
      </c>
      <c r="E39" s="90"/>
      <c r="H39" s="28"/>
    </row>
    <row r="40" spans="1:8" ht="17.100000000000001" customHeight="1" x14ac:dyDescent="0.2">
      <c r="A40" s="28"/>
      <c r="B40" s="73" t="s">
        <v>54</v>
      </c>
      <c r="C40" s="72" t="s">
        <v>55</v>
      </c>
      <c r="D40" s="70">
        <f>F25</f>
        <v>179380.47999999952</v>
      </c>
      <c r="E40" s="69" t="s">
        <v>56</v>
      </c>
      <c r="F40" s="70">
        <f>F26</f>
        <v>362684.94720000029</v>
      </c>
      <c r="H40" s="28"/>
    </row>
    <row r="41" spans="1:8" ht="17.100000000000001" customHeight="1" x14ac:dyDescent="0.2">
      <c r="A41" s="28"/>
      <c r="B41" s="73" t="s">
        <v>57</v>
      </c>
      <c r="C41" s="74" t="s">
        <v>58</v>
      </c>
      <c r="H41" s="28"/>
    </row>
    <row r="42" spans="1:8" ht="17.100000000000001" customHeight="1" x14ac:dyDescent="0.2">
      <c r="A42" s="28"/>
      <c r="B42" s="75"/>
      <c r="C42" s="74" t="s">
        <v>59</v>
      </c>
      <c r="H42" s="28"/>
    </row>
    <row r="43" spans="1:8" ht="17.100000000000001" customHeight="1" x14ac:dyDescent="0.2">
      <c r="A43" s="28"/>
      <c r="B43" s="76"/>
      <c r="C43" s="74" t="s">
        <v>60</v>
      </c>
      <c r="H43" s="28"/>
    </row>
    <row r="44" spans="1:8" ht="17.100000000000001" customHeight="1" x14ac:dyDescent="0.2">
      <c r="A44" s="28"/>
      <c r="B44" s="75"/>
      <c r="C44" s="74" t="s">
        <v>61</v>
      </c>
      <c r="G44" s="71" t="s">
        <v>9</v>
      </c>
      <c r="H44" s="28"/>
    </row>
    <row r="45" spans="1:8" ht="17.100000000000001" customHeight="1" x14ac:dyDescent="0.2">
      <c r="A45" s="28"/>
      <c r="B45" s="73" t="s">
        <v>62</v>
      </c>
      <c r="C45" s="74" t="s">
        <v>63</v>
      </c>
      <c r="H45" s="28"/>
    </row>
    <row r="46" spans="1:8" ht="17.100000000000001" customHeight="1" x14ac:dyDescent="0.2">
      <c r="A46" s="28"/>
      <c r="B46" s="77"/>
      <c r="C46" s="71" t="s">
        <v>64</v>
      </c>
      <c r="H46" s="28"/>
    </row>
    <row r="47" spans="1:8" ht="17.100000000000001" customHeight="1" x14ac:dyDescent="0.2">
      <c r="A47" s="28"/>
      <c r="B47" s="73" t="s">
        <v>65</v>
      </c>
      <c r="C47" s="74" t="s">
        <v>66</v>
      </c>
      <c r="F47" s="86" t="s">
        <v>67</v>
      </c>
      <c r="G47" s="86"/>
      <c r="H47" s="28"/>
    </row>
    <row r="48" spans="1:8" ht="17.100000000000001" customHeight="1" x14ac:dyDescent="0.2">
      <c r="A48" s="28"/>
      <c r="B48" s="73"/>
      <c r="C48" s="74" t="s">
        <v>68</v>
      </c>
      <c r="F48" s="86" t="s">
        <v>69</v>
      </c>
      <c r="G48" s="86"/>
      <c r="H48" s="28"/>
    </row>
    <row r="49" spans="1:8" ht="17.100000000000001" customHeight="1" x14ac:dyDescent="0.2">
      <c r="A49" s="28"/>
      <c r="B49" s="73"/>
      <c r="C49" s="74" t="s">
        <v>70</v>
      </c>
      <c r="F49" s="91" t="s">
        <v>71</v>
      </c>
      <c r="G49" s="91"/>
      <c r="H49" s="28"/>
    </row>
    <row r="50" spans="1:8" ht="17.100000000000001" customHeight="1" x14ac:dyDescent="0.2">
      <c r="A50" s="28"/>
      <c r="B50" s="73" t="s">
        <v>72</v>
      </c>
      <c r="C50" s="71" t="s">
        <v>73</v>
      </c>
      <c r="H50" s="28"/>
    </row>
    <row r="51" spans="1:8" ht="17.100000000000001" customHeight="1" x14ac:dyDescent="0.2">
      <c r="A51" s="28"/>
      <c r="B51" s="78"/>
      <c r="C51" s="87" t="s">
        <v>74</v>
      </c>
      <c r="D51" s="87"/>
      <c r="E51" s="87"/>
      <c r="F51" s="78"/>
      <c r="H51" s="28"/>
    </row>
    <row r="52" spans="1:8" ht="17.100000000000001" customHeight="1" x14ac:dyDescent="0.2">
      <c r="A52" s="28"/>
      <c r="C52" s="71" t="s">
        <v>75</v>
      </c>
      <c r="D52" s="78"/>
      <c r="F52" s="78"/>
      <c r="H52" s="28"/>
    </row>
    <row r="53" spans="1:8" ht="17.100000000000001" customHeight="1" x14ac:dyDescent="0.2">
      <c r="A53" s="28"/>
      <c r="C53" s="71" t="s">
        <v>76</v>
      </c>
      <c r="D53" s="78"/>
      <c r="F53" s="78"/>
      <c r="H53" s="28"/>
    </row>
    <row r="54" spans="1:8" ht="17.100000000000001" customHeight="1" x14ac:dyDescent="0.2">
      <c r="A54" s="28"/>
      <c r="C54" s="71" t="s">
        <v>77</v>
      </c>
      <c r="D54" s="78"/>
      <c r="F54" s="78"/>
      <c r="H54" s="28"/>
    </row>
    <row r="55" spans="1:8" ht="17.100000000000001" customHeight="1" x14ac:dyDescent="0.2">
      <c r="A55" s="28"/>
      <c r="C55" s="71" t="s">
        <v>78</v>
      </c>
      <c r="D55" s="78"/>
      <c r="F55" s="78"/>
      <c r="H55" s="28"/>
    </row>
    <row r="56" spans="1:8" ht="17.100000000000001" customHeight="1" x14ac:dyDescent="0.2">
      <c r="A56" s="28"/>
      <c r="B56" s="78"/>
      <c r="C56" s="87" t="s">
        <v>79</v>
      </c>
      <c r="D56" s="87"/>
      <c r="E56" s="87"/>
      <c r="F56" s="78"/>
      <c r="H56" s="28"/>
    </row>
    <row r="57" spans="1:8" ht="17.100000000000001" customHeight="1" x14ac:dyDescent="0.2">
      <c r="A57" s="28"/>
      <c r="C57" s="71" t="s">
        <v>99</v>
      </c>
      <c r="D57" s="78"/>
      <c r="F57" s="78"/>
      <c r="H57" s="28"/>
    </row>
    <row r="58" spans="1:8" ht="17.100000000000001" customHeight="1" x14ac:dyDescent="0.2">
      <c r="A58" s="28"/>
      <c r="C58" s="71" t="s">
        <v>80</v>
      </c>
      <c r="D58" s="78"/>
      <c r="F58" s="78"/>
      <c r="H58" s="28"/>
    </row>
    <row r="59" spans="1:8" ht="17.100000000000001" customHeight="1" x14ac:dyDescent="0.2">
      <c r="A59" s="28"/>
      <c r="C59" s="71" t="s">
        <v>81</v>
      </c>
      <c r="D59" s="78"/>
      <c r="F59" s="78"/>
      <c r="H59" s="28"/>
    </row>
    <row r="60" spans="1:8" ht="17.100000000000001" customHeight="1" x14ac:dyDescent="0.2">
      <c r="A60" s="28"/>
      <c r="C60" s="71" t="s">
        <v>82</v>
      </c>
      <c r="D60" s="78"/>
      <c r="F60" s="78"/>
      <c r="H60" s="28"/>
    </row>
    <row r="61" spans="1:8" ht="17.100000000000001" customHeight="1" x14ac:dyDescent="0.2">
      <c r="A61" s="28"/>
      <c r="C61" s="71" t="s">
        <v>83</v>
      </c>
      <c r="D61" s="78"/>
      <c r="F61" s="78"/>
      <c r="H61" s="28"/>
    </row>
    <row r="62" spans="1:8" ht="17.100000000000001" customHeight="1" x14ac:dyDescent="0.2">
      <c r="A62" s="28"/>
      <c r="C62" s="85" t="s">
        <v>84</v>
      </c>
      <c r="D62" s="85"/>
      <c r="E62" s="85"/>
      <c r="F62" s="78"/>
      <c r="H62" s="28"/>
    </row>
    <row r="63" spans="1:8" ht="6.75" customHeight="1" x14ac:dyDescent="0.2">
      <c r="A63" s="28"/>
      <c r="B63" s="33"/>
      <c r="C63" s="33"/>
      <c r="D63" s="33"/>
      <c r="E63" s="33"/>
      <c r="F63" s="33"/>
      <c r="G63" s="33"/>
      <c r="H63" s="28"/>
    </row>
  </sheetData>
  <sheetProtection algorithmName="SHA-512" hashValue="6hvpjCaZ1l1Yve8A+Pwy9CPZnFq4+uLgrM4anRK+zQY9QaO/JUqxjLPEEu+Xb4rurXnIB4DWRHff2gtt9qr3Rg==" saltValue="NZxJRaW6gqyuUi/mtPFP7g==" spinCount="100000" sheet="1" objects="1" scenarios="1"/>
  <mergeCells count="12">
    <mergeCell ref="C62:E62"/>
    <mergeCell ref="B2:G2"/>
    <mergeCell ref="F47:G47"/>
    <mergeCell ref="C56:E56"/>
    <mergeCell ref="F24:G24"/>
    <mergeCell ref="C4:D4"/>
    <mergeCell ref="C51:E51"/>
    <mergeCell ref="E38:E39"/>
    <mergeCell ref="F48:G48"/>
    <mergeCell ref="F49:G49"/>
    <mergeCell ref="B25:C25"/>
    <mergeCell ref="B3:G3"/>
  </mergeCells>
  <phoneticPr fontId="0" type="noConversion"/>
  <conditionalFormatting sqref="F25:G27">
    <cfRule type="cellIs" dxfId="4" priority="2" stopIfTrue="1" operator="lessThan">
      <formula>0</formula>
    </cfRule>
  </conditionalFormatting>
  <conditionalFormatting sqref="E13:E21">
    <cfRule type="cellIs" dxfId="3" priority="3" stopIfTrue="1" operator="lessThan">
      <formula>0</formula>
    </cfRule>
  </conditionalFormatting>
  <conditionalFormatting sqref="C32:C33">
    <cfRule type="cellIs" dxfId="2" priority="1" operator="lessThan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55" orientation="portrait" r:id="rId1"/>
  <headerFooter alignWithMargins="0">
    <oddHeader>&amp;L&amp;14Business case projections OPD-HCD&amp;C&amp;D&amp;R&amp;14Page 1 of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359E2-944D-0C41-9FCF-F2C3EB09AF5A}">
  <dimension ref="A1"/>
  <sheetViews>
    <sheetView zoomScaleNormal="60" zoomScaleSheetLayoutView="100"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3"/>
  <sheetViews>
    <sheetView topLeftCell="A4" zoomScaleNormal="100" workbookViewId="0">
      <selection activeCell="B22" sqref="B22"/>
    </sheetView>
  </sheetViews>
  <sheetFormatPr defaultRowHeight="12.75" x14ac:dyDescent="0.2"/>
  <cols>
    <col min="1" max="1" width="35.5703125" customWidth="1"/>
    <col min="2" max="2" width="22.42578125" customWidth="1"/>
    <col min="3" max="3" width="17.42578125" customWidth="1"/>
    <col min="4" max="4" width="15.42578125" customWidth="1"/>
    <col min="5" max="5" width="22.85546875" customWidth="1"/>
    <col min="6" max="6" width="13.28515625" customWidth="1"/>
  </cols>
  <sheetData>
    <row r="1" spans="1:6" ht="15.75" x14ac:dyDescent="0.25">
      <c r="A1" s="6" t="str">
        <f>'Business case'!B4</f>
        <v xml:space="preserve">Manufacturing business </v>
      </c>
      <c r="B1" s="7"/>
      <c r="C1" s="7"/>
      <c r="D1" s="7"/>
      <c r="E1" s="8" t="s">
        <v>9</v>
      </c>
      <c r="F1" s="4" t="s">
        <v>9</v>
      </c>
    </row>
    <row r="2" spans="1:6" ht="15.75" x14ac:dyDescent="0.25">
      <c r="A2" s="9" t="s">
        <v>6</v>
      </c>
      <c r="B2" s="10">
        <f>'Business case'!C6</f>
        <v>12000000</v>
      </c>
      <c r="C2" s="3" t="s">
        <v>7</v>
      </c>
      <c r="D2" s="11">
        <f>'Business case'!E6</f>
        <v>0.44</v>
      </c>
      <c r="E2" s="12" t="s">
        <v>8</v>
      </c>
      <c r="F2" s="13">
        <f>'Business case'!G6</f>
        <v>0.36</v>
      </c>
    </row>
    <row r="3" spans="1:6" ht="15.75" x14ac:dyDescent="0.25">
      <c r="A3" s="9"/>
      <c r="B3" s="10"/>
      <c r="C3" s="1" t="s">
        <v>10</v>
      </c>
      <c r="D3" s="5" t="s">
        <v>11</v>
      </c>
      <c r="E3" s="5" t="s">
        <v>12</v>
      </c>
      <c r="F3" s="14" t="s">
        <v>13</v>
      </c>
    </row>
    <row r="4" spans="1:6" ht="15.75" x14ac:dyDescent="0.25">
      <c r="A4" s="15" t="s">
        <v>14</v>
      </c>
      <c r="B4" s="1"/>
      <c r="C4" s="16">
        <f>'Business case'!D8</f>
        <v>0.08</v>
      </c>
      <c r="D4" s="16">
        <f>'Business case'!E8</f>
        <v>9.5000000000000001E-2</v>
      </c>
      <c r="E4" s="16">
        <f>'Business case'!F8</f>
        <v>0.1</v>
      </c>
      <c r="F4" s="14" t="str">
        <f>'Business case'!G8</f>
        <v>8% - 15%</v>
      </c>
    </row>
    <row r="5" spans="1:6" ht="15.75" x14ac:dyDescent="0.25">
      <c r="A5" s="2" t="s">
        <v>85</v>
      </c>
      <c r="B5" s="1"/>
      <c r="C5" s="17">
        <f>'Business case'!D9</f>
        <v>3.0000000000000001E-3</v>
      </c>
      <c r="D5" s="17">
        <f>'Business case'!E9</f>
        <v>3.8E-3</v>
      </c>
      <c r="E5" s="17">
        <f>'Business case'!F9</f>
        <v>4.1000000000000003E-3</v>
      </c>
      <c r="F5" s="14" t="s">
        <v>18</v>
      </c>
    </row>
    <row r="6" spans="1:6" ht="15.75" x14ac:dyDescent="0.25">
      <c r="A6" s="2" t="s">
        <v>86</v>
      </c>
      <c r="B6" s="1"/>
      <c r="C6" s="17">
        <f>'Business case'!D10</f>
        <v>2E-3</v>
      </c>
      <c r="D6" s="17">
        <f>'Business case'!E10</f>
        <v>2.8E-3</v>
      </c>
      <c r="E6" s="17">
        <f>'Business case'!F10</f>
        <v>3.0999999999999999E-3</v>
      </c>
      <c r="F6" s="14" t="s">
        <v>87</v>
      </c>
    </row>
    <row r="7" spans="1:6" ht="15.75" x14ac:dyDescent="0.25">
      <c r="A7" s="2" t="s">
        <v>88</v>
      </c>
      <c r="B7" s="1"/>
      <c r="C7" s="17">
        <f>'Business case'!D11</f>
        <v>1E-3</v>
      </c>
      <c r="D7" s="17">
        <f>'Business case'!E11</f>
        <v>1.8E-3</v>
      </c>
      <c r="E7" s="17">
        <f>'Business case'!F11</f>
        <v>2.0999999999999999E-3</v>
      </c>
      <c r="F7" s="14" t="s">
        <v>89</v>
      </c>
    </row>
    <row r="8" spans="1:6" ht="15.75" x14ac:dyDescent="0.25">
      <c r="A8" s="2"/>
      <c r="B8" s="1" t="s">
        <v>25</v>
      </c>
      <c r="C8" s="5" t="s">
        <v>26</v>
      </c>
      <c r="D8" s="5" t="s">
        <v>27</v>
      </c>
      <c r="E8" s="5" t="s">
        <v>28</v>
      </c>
      <c r="F8" s="18" t="s">
        <v>26</v>
      </c>
    </row>
    <row r="9" spans="1:6" ht="15.75" x14ac:dyDescent="0.25">
      <c r="A9" s="2" t="s">
        <v>6</v>
      </c>
      <c r="B9" s="19">
        <f>B2</f>
        <v>12000000</v>
      </c>
      <c r="C9" s="20">
        <v>1</v>
      </c>
      <c r="D9" s="20">
        <f>D4*D5*100</f>
        <v>3.61E-2</v>
      </c>
      <c r="E9" s="19">
        <f>B9*(1+D9)</f>
        <v>12433200</v>
      </c>
      <c r="F9" s="21">
        <v>1</v>
      </c>
    </row>
    <row r="10" spans="1:6" ht="15.75" x14ac:dyDescent="0.25">
      <c r="A10" s="2" t="s">
        <v>90</v>
      </c>
      <c r="B10" s="19">
        <f>B2*(1-D2)</f>
        <v>6720000.0000000009</v>
      </c>
      <c r="C10" s="20">
        <f>B10/$B9</f>
        <v>0.56000000000000005</v>
      </c>
      <c r="D10" s="22">
        <f>-(D4*D6*100)</f>
        <v>-2.6600000000000002E-2</v>
      </c>
      <c r="E10" s="19">
        <f>(C10*(1+D10))*E9</f>
        <v>6777387.0528000006</v>
      </c>
      <c r="F10" s="21">
        <f>E10/E9</f>
        <v>0.54510400000000003</v>
      </c>
    </row>
    <row r="11" spans="1:6" ht="15.75" x14ac:dyDescent="0.25">
      <c r="A11" s="2" t="s">
        <v>30</v>
      </c>
      <c r="B11" s="19">
        <f>B9-B10</f>
        <v>5279999.9999999991</v>
      </c>
      <c r="C11" s="20">
        <f>B11/B9</f>
        <v>0.43999999999999995</v>
      </c>
      <c r="D11" s="1"/>
      <c r="E11" s="19">
        <f>E9-E10</f>
        <v>5655812.9471999994</v>
      </c>
      <c r="F11" s="21">
        <f>E11/E9</f>
        <v>0.45489599999999997</v>
      </c>
    </row>
    <row r="12" spans="1:6" ht="15.75" x14ac:dyDescent="0.25">
      <c r="A12" s="2" t="s">
        <v>31</v>
      </c>
      <c r="B12" s="19">
        <f>B9*F2</f>
        <v>4320000</v>
      </c>
      <c r="C12" s="20">
        <f>B12/B9</f>
        <v>0.36</v>
      </c>
      <c r="D12" s="22">
        <f>-(D4*100*D7)</f>
        <v>-1.7100000000000001E-2</v>
      </c>
      <c r="E12" s="19">
        <f>(B12*(1+D12))</f>
        <v>4246128</v>
      </c>
      <c r="F12" s="21">
        <f>E12/E9</f>
        <v>0.34151529775118233</v>
      </c>
    </row>
    <row r="13" spans="1:6" ht="15.75" x14ac:dyDescent="0.25">
      <c r="A13" s="2" t="s">
        <v>91</v>
      </c>
      <c r="B13" s="19"/>
      <c r="C13" s="20"/>
      <c r="D13" s="22"/>
      <c r="E13" s="19">
        <f>'Business case'!F17</f>
        <v>87000</v>
      </c>
      <c r="F13" s="21"/>
    </row>
    <row r="14" spans="1:6" ht="15.75" x14ac:dyDescent="0.25">
      <c r="A14" s="2" t="s">
        <v>34</v>
      </c>
      <c r="B14" s="19">
        <f>B11-B12</f>
        <v>959999.99999999907</v>
      </c>
      <c r="C14" s="20">
        <f>B14/B9</f>
        <v>7.9999999999999918E-2</v>
      </c>
      <c r="D14" s="1"/>
      <c r="E14" s="19">
        <f>E11-(E12+E13)</f>
        <v>1322684.9471999994</v>
      </c>
      <c r="F14" s="21">
        <f>E14/E9</f>
        <v>0.10638330817488655</v>
      </c>
    </row>
    <row r="15" spans="1:6" ht="15.75" x14ac:dyDescent="0.25">
      <c r="A15" s="2" t="s">
        <v>92</v>
      </c>
      <c r="B15" s="1"/>
      <c r="C15" s="1"/>
      <c r="D15" s="1"/>
      <c r="E15" s="10">
        <f>E14-B14</f>
        <v>362684.94720000029</v>
      </c>
      <c r="F15" s="21">
        <f>E15/E9</f>
        <v>2.9170683910819444E-2</v>
      </c>
    </row>
    <row r="16" spans="1:6" ht="21" thickBot="1" x14ac:dyDescent="0.35">
      <c r="A16" s="23" t="s">
        <v>35</v>
      </c>
      <c r="B16" s="24"/>
      <c r="C16" s="24" t="s">
        <v>11</v>
      </c>
      <c r="D16" s="24"/>
      <c r="E16" s="25">
        <f>E15</f>
        <v>362684.94720000029</v>
      </c>
      <c r="F16" s="26">
        <f>E16/E9</f>
        <v>2.9170683910819444E-2</v>
      </c>
    </row>
    <row r="17" spans="1:6" ht="13.5" thickBot="1" x14ac:dyDescent="0.25"/>
    <row r="18" spans="1:6" ht="15.75" x14ac:dyDescent="0.25">
      <c r="A18" s="6" t="str">
        <f>'Payback yr 2&amp;3'!A1</f>
        <v xml:space="preserve">Manufacturing business </v>
      </c>
      <c r="B18" s="7"/>
      <c r="C18" s="7"/>
      <c r="D18" s="7"/>
      <c r="E18" s="8" t="s">
        <v>9</v>
      </c>
      <c r="F18" s="4" t="str">
        <f>'Payback yr 2&amp;3'!F1</f>
        <v xml:space="preserve"> </v>
      </c>
    </row>
    <row r="19" spans="1:6" ht="15.75" x14ac:dyDescent="0.25">
      <c r="A19" s="9" t="s">
        <v>6</v>
      </c>
      <c r="B19" s="10">
        <f>'Payback yr 2&amp;3'!B2</f>
        <v>12000000</v>
      </c>
      <c r="C19" s="3" t="s">
        <v>7</v>
      </c>
      <c r="D19" s="11">
        <f>'Payback yr 2&amp;3'!D2</f>
        <v>0.44</v>
      </c>
      <c r="E19" s="12" t="s">
        <v>8</v>
      </c>
      <c r="F19" s="13">
        <f>'Payback yr 2&amp;3'!F2</f>
        <v>0.36</v>
      </c>
    </row>
    <row r="20" spans="1:6" ht="15.75" x14ac:dyDescent="0.25">
      <c r="A20" s="9"/>
      <c r="B20" s="10"/>
      <c r="C20" s="1" t="s">
        <v>10</v>
      </c>
      <c r="D20" s="5" t="s">
        <v>11</v>
      </c>
      <c r="E20" s="5" t="s">
        <v>12</v>
      </c>
      <c r="F20" s="14" t="s">
        <v>13</v>
      </c>
    </row>
    <row r="21" spans="1:6" ht="15.75" x14ac:dyDescent="0.25">
      <c r="A21" s="15" t="s">
        <v>14</v>
      </c>
      <c r="B21" s="1"/>
      <c r="C21" s="16">
        <f>'Payback yr 2&amp;3'!C4</f>
        <v>0.08</v>
      </c>
      <c r="D21" s="16">
        <f>'Business case'!E8</f>
        <v>9.5000000000000001E-2</v>
      </c>
      <c r="E21" s="16">
        <f>'Business case'!F8</f>
        <v>0.1</v>
      </c>
      <c r="F21" s="14" t="str">
        <f>'Payback yr 2&amp;3'!F4</f>
        <v>8% - 15%</v>
      </c>
    </row>
    <row r="22" spans="1:6" ht="15.75" x14ac:dyDescent="0.25">
      <c r="A22" s="2" t="s">
        <v>85</v>
      </c>
      <c r="B22" s="1"/>
      <c r="C22" s="17">
        <f>'Payback yr 2&amp;3'!C5</f>
        <v>3.0000000000000001E-3</v>
      </c>
      <c r="D22" s="17">
        <f>'Payback yr 2&amp;3'!D5</f>
        <v>3.8E-3</v>
      </c>
      <c r="E22" s="17">
        <f>'Business case'!F9</f>
        <v>4.1000000000000003E-3</v>
      </c>
      <c r="F22" s="14" t="s">
        <v>93</v>
      </c>
    </row>
    <row r="23" spans="1:6" ht="15.75" x14ac:dyDescent="0.25">
      <c r="A23" s="2" t="s">
        <v>86</v>
      </c>
      <c r="B23" s="1"/>
      <c r="C23" s="17">
        <f>'Payback yr 2&amp;3'!C6</f>
        <v>2E-3</v>
      </c>
      <c r="D23" s="17">
        <f>'Business case'!E10</f>
        <v>2.8E-3</v>
      </c>
      <c r="E23" s="17">
        <f>'Business case'!F10</f>
        <v>3.0999999999999999E-3</v>
      </c>
      <c r="F23" s="14" t="s">
        <v>87</v>
      </c>
    </row>
    <row r="24" spans="1:6" ht="15.75" x14ac:dyDescent="0.25">
      <c r="A24" s="2" t="s">
        <v>88</v>
      </c>
      <c r="B24" s="1"/>
      <c r="C24" s="17">
        <f>'Payback yr 2&amp;3'!C7</f>
        <v>1E-3</v>
      </c>
      <c r="D24" s="17">
        <f>'Business case'!E11</f>
        <v>1.8E-3</v>
      </c>
      <c r="E24" s="17">
        <f>'Business case'!F11</f>
        <v>2.0999999999999999E-3</v>
      </c>
      <c r="F24" s="14" t="s">
        <v>89</v>
      </c>
    </row>
    <row r="25" spans="1:6" ht="15.75" x14ac:dyDescent="0.25">
      <c r="A25" s="2"/>
      <c r="B25" s="1" t="s">
        <v>25</v>
      </c>
      <c r="C25" s="5" t="s">
        <v>26</v>
      </c>
      <c r="D25" s="5" t="s">
        <v>27</v>
      </c>
      <c r="E25" s="5" t="s">
        <v>28</v>
      </c>
      <c r="F25" s="18" t="s">
        <v>26</v>
      </c>
    </row>
    <row r="26" spans="1:6" ht="15.75" x14ac:dyDescent="0.25">
      <c r="A26" s="2" t="s">
        <v>6</v>
      </c>
      <c r="B26" s="19">
        <f>B19</f>
        <v>12000000</v>
      </c>
      <c r="C26" s="20">
        <v>1</v>
      </c>
      <c r="D26" s="20">
        <f>E21*E22*100</f>
        <v>4.1000000000000002E-2</v>
      </c>
      <c r="E26" s="19">
        <f>B26*(1+D26)</f>
        <v>12492000</v>
      </c>
      <c r="F26" s="21">
        <v>1</v>
      </c>
    </row>
    <row r="27" spans="1:6" ht="15.75" x14ac:dyDescent="0.25">
      <c r="A27" s="2" t="s">
        <v>90</v>
      </c>
      <c r="B27" s="19">
        <f>B19*(1-D19)</f>
        <v>6720000.0000000009</v>
      </c>
      <c r="C27" s="20">
        <f>B27/$B26</f>
        <v>0.56000000000000005</v>
      </c>
      <c r="D27" s="20">
        <f>-(E21*E23*100)</f>
        <v>-3.1E-2</v>
      </c>
      <c r="E27" s="19">
        <f>(C27*(1+D27))*E26</f>
        <v>6778658.8799999999</v>
      </c>
      <c r="F27" s="21">
        <f>E27/E26</f>
        <v>0.54264000000000001</v>
      </c>
    </row>
    <row r="28" spans="1:6" ht="15.75" x14ac:dyDescent="0.25">
      <c r="A28" s="2" t="s">
        <v>30</v>
      </c>
      <c r="B28" s="19">
        <f>B26-B27</f>
        <v>5279999.9999999991</v>
      </c>
      <c r="C28" s="20">
        <f>B28/B26</f>
        <v>0.43999999999999995</v>
      </c>
      <c r="D28" s="1"/>
      <c r="E28" s="19">
        <f>E26-E27</f>
        <v>5713341.1200000001</v>
      </c>
      <c r="F28" s="21">
        <f>E28/E26</f>
        <v>0.45735999999999999</v>
      </c>
    </row>
    <row r="29" spans="1:6" ht="15.75" x14ac:dyDescent="0.25">
      <c r="A29" s="2" t="s">
        <v>31</v>
      </c>
      <c r="B29" s="27">
        <f>B26*F19</f>
        <v>4320000</v>
      </c>
      <c r="C29" s="20">
        <f>B29/B26</f>
        <v>0.36</v>
      </c>
      <c r="D29" s="20">
        <f>-(E21*100*E24)</f>
        <v>-2.0999999999999998E-2</v>
      </c>
      <c r="E29" s="19">
        <f>(B29*(1+D29))</f>
        <v>4229280</v>
      </c>
      <c r="F29" s="21">
        <f>E29/E26</f>
        <v>0.33855907780979827</v>
      </c>
    </row>
    <row r="30" spans="1:6" ht="15.75" x14ac:dyDescent="0.25">
      <c r="A30" s="2" t="s">
        <v>91</v>
      </c>
      <c r="B30" s="27"/>
      <c r="C30" s="20"/>
      <c r="D30" s="20"/>
      <c r="E30" s="19">
        <f>'Business case'!F17</f>
        <v>87000</v>
      </c>
      <c r="F30" s="21"/>
    </row>
    <row r="31" spans="1:6" ht="15.75" x14ac:dyDescent="0.25">
      <c r="A31" s="2" t="s">
        <v>34</v>
      </c>
      <c r="B31" s="19">
        <f>B28-B29</f>
        <v>959999.99999999907</v>
      </c>
      <c r="C31" s="20">
        <f>B31/B26</f>
        <v>7.9999999999999918E-2</v>
      </c>
      <c r="D31" s="1"/>
      <c r="E31" s="19">
        <f>E28-(E29+E30)</f>
        <v>1397061.12</v>
      </c>
      <c r="F31" s="21">
        <f>E31/E26</f>
        <v>0.11183646493756005</v>
      </c>
    </row>
    <row r="32" spans="1:6" ht="15.75" x14ac:dyDescent="0.25">
      <c r="A32" s="2" t="s">
        <v>94</v>
      </c>
      <c r="B32" s="1"/>
      <c r="C32" s="1"/>
      <c r="D32" s="1"/>
      <c r="E32" s="10">
        <f>E31-B31</f>
        <v>437061.12000000104</v>
      </c>
      <c r="F32" s="21">
        <f>E32/E26</f>
        <v>3.4987281460134571E-2</v>
      </c>
    </row>
    <row r="33" spans="1:6" ht="21" thickBot="1" x14ac:dyDescent="0.35">
      <c r="A33" s="23" t="s">
        <v>35</v>
      </c>
      <c r="B33" s="24"/>
      <c r="C33" s="24" t="s">
        <v>12</v>
      </c>
      <c r="D33" s="24"/>
      <c r="E33" s="25">
        <f>E32</f>
        <v>437061.12000000104</v>
      </c>
      <c r="F33" s="26">
        <f>E33/E26</f>
        <v>3.4987281460134571E-2</v>
      </c>
    </row>
  </sheetData>
  <phoneticPr fontId="0" type="noConversion"/>
  <conditionalFormatting sqref="D9:D13">
    <cfRule type="cellIs" dxfId="1" priority="2" stopIfTrue="1" operator="lessThan">
      <formula>0</formula>
    </cfRule>
  </conditionalFormatting>
  <conditionalFormatting sqref="D26:D30">
    <cfRule type="cellIs" dxfId="0" priority="1" stopIfTrue="1" operator="lessThan">
      <formula>0</formula>
    </cfRule>
  </conditionalFormatting>
  <pageMargins left="0.75" right="0.75" top="1" bottom="1" header="0.5" footer="0.5"/>
  <pageSetup paperSize="9" scale="64" orientation="portrait" verticalDpi="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77B5E3623DD944AC52C892A8AA2E22" ma:contentTypeVersion="0" ma:contentTypeDescription="Create a new document." ma:contentTypeScope="" ma:versionID="bf88f939be39a8e12697f02ce806aff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2a7559a2b7b9b7ae1f1204e69331f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9768955-9797-46A6-83D9-F558DA5F415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7ECE73-EEE2-4340-9768-0F569E618E33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1E5551E7-0F90-48CC-8F2F-3B1E890248DE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30311F91-237D-4EAB-96EC-23DF4487BA40}">
  <ds:schemaRefs>
    <ds:schemaRef ds:uri="http://schemas.microsoft.com/office/2006/metadata/properties"/>
    <ds:schemaRef ds:uri="http://www.w3.org/2000/xmlns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Business case</vt:lpstr>
      <vt:lpstr>Sheet2</vt:lpstr>
      <vt:lpstr>Payback yr 2&amp;3</vt:lpstr>
      <vt:lpstr>'Business case'!Print_Area</vt:lpstr>
      <vt:lpstr>'Payback yr 2&amp;3'!Print_Area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Graham</dc:creator>
  <cp:keywords/>
  <dc:description/>
  <cp:lastModifiedBy>Admin</cp:lastModifiedBy>
  <cp:revision/>
  <cp:lastPrinted>2019-03-14T03:03:24Z</cp:lastPrinted>
  <dcterms:created xsi:type="dcterms:W3CDTF">2009-09-29T22:09:49Z</dcterms:created>
  <dcterms:modified xsi:type="dcterms:W3CDTF">2021-06-16T17:12:00Z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MyDocuments">
    <vt:bool>true</vt:bool>
  </property>
  <property fmtid="{D5CDD505-2E9C-101B-9397-08002B2CF9AE}" pid="3" name="ContentTypeId">
    <vt:lpwstr>0x010100BC77B5E3623DD944AC52C892A8AA2E22</vt:lpwstr>
  </property>
</Properties>
</file>